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4675" windowHeight="11415" activeTab="1"/>
  </bookViews>
  <sheets>
    <sheet name="список" sheetId="4" r:id="rId1"/>
    <sheet name="таблица критериев" sheetId="45" r:id="rId2"/>
    <sheet name="средний балл" sheetId="2" r:id="rId3"/>
    <sheet name="Лист3" sheetId="3" r:id="rId4"/>
  </sheets>
  <definedNames>
    <definedName name="Воспитание">список!$A$48:$A$53</definedName>
    <definedName name="Грант">список!$A$29:$A$32</definedName>
    <definedName name="конфер">список!$A$34:$A$36</definedName>
    <definedName name="Матем">список!$A$38:$A$42</definedName>
    <definedName name="Меропр">список!$A$26:$A$27</definedName>
    <definedName name="Офиц">список!$A$19</definedName>
    <definedName name="Очная">список!$A$21</definedName>
    <definedName name="Победа">список!$A$23:$A$24</definedName>
    <definedName name="список1">список!$A$1:$A$4</definedName>
    <definedName name="список2">список!$A$6:$A$8</definedName>
    <definedName name="список3">список!$A$10:$A$11</definedName>
    <definedName name="список4">список!$A$13:$A$14</definedName>
    <definedName name="список5">список!$A$16:$A$17</definedName>
    <definedName name="физ">список!$A$44:$A$46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45" l="1"/>
  <c r="J5" i="45"/>
  <c r="F20" i="2" l="1"/>
  <c r="F21" i="2" s="1"/>
  <c r="L20" i="2" l="1"/>
  <c r="L21" i="2" s="1"/>
  <c r="J24" i="45" l="1"/>
  <c r="G30" i="45" l="1"/>
  <c r="L17" i="45" l="1"/>
  <c r="K17" i="45"/>
  <c r="L12" i="45"/>
  <c r="J12" i="45"/>
  <c r="K12" i="45"/>
  <c r="L21" i="45" l="1"/>
  <c r="K21" i="45"/>
  <c r="J21" i="45"/>
  <c r="L16" i="45"/>
  <c r="K16" i="45"/>
  <c r="J16" i="45"/>
  <c r="C30" i="45" l="1"/>
  <c r="J28" i="45"/>
  <c r="M28" i="45" s="1"/>
  <c r="L27" i="45"/>
  <c r="K27" i="45"/>
  <c r="J27" i="45"/>
  <c r="L26" i="45"/>
  <c r="K26" i="45"/>
  <c r="J26" i="45"/>
  <c r="L25" i="45"/>
  <c r="K25" i="45"/>
  <c r="J25" i="45"/>
  <c r="L24" i="45"/>
  <c r="K24" i="45"/>
  <c r="J23" i="45"/>
  <c r="J22" i="45"/>
  <c r="L20" i="45"/>
  <c r="K20" i="45"/>
  <c r="J20" i="45"/>
  <c r="L19" i="45"/>
  <c r="K19" i="45"/>
  <c r="J19" i="45"/>
  <c r="L18" i="45"/>
  <c r="K18" i="45"/>
  <c r="J18" i="45"/>
  <c r="J17" i="45"/>
  <c r="L15" i="45"/>
  <c r="K15" i="45"/>
  <c r="J15" i="45"/>
  <c r="L14" i="45"/>
  <c r="K14" i="45"/>
  <c r="J14" i="45"/>
  <c r="L13" i="45"/>
  <c r="K13" i="45"/>
  <c r="J13" i="45"/>
  <c r="L10" i="45"/>
  <c r="M10" i="45" s="1"/>
  <c r="J9" i="45"/>
  <c r="L9" i="45" s="1"/>
  <c r="J8" i="45"/>
  <c r="L8" i="45" s="1"/>
  <c r="J7" i="45"/>
  <c r="L7" i="45" s="1"/>
  <c r="L6" i="45"/>
  <c r="J4" i="45"/>
  <c r="L4" i="45" s="1"/>
  <c r="M17" i="45" l="1"/>
  <c r="M26" i="45"/>
  <c r="M24" i="45"/>
  <c r="M22" i="45"/>
  <c r="M12" i="45"/>
  <c r="L5" i="45"/>
  <c r="M5" i="45" s="1"/>
  <c r="M8" i="45"/>
  <c r="M29" i="45" l="1"/>
  <c r="K20" i="2"/>
  <c r="K21" i="2" s="1"/>
  <c r="J20" i="2"/>
  <c r="J21" i="2" s="1"/>
  <c r="I20" i="2"/>
  <c r="E20" i="2"/>
  <c r="E21" i="2" s="1"/>
  <c r="D20" i="2"/>
  <c r="D21" i="2" s="1"/>
  <c r="C20" i="2"/>
  <c r="C21" i="2" l="1"/>
  <c r="G20" i="2"/>
  <c r="I21" i="2"/>
  <c r="M20" i="2"/>
  <c r="M21" i="2" l="1"/>
  <c r="G21" i="2"/>
</calcChain>
</file>

<file path=xl/sharedStrings.xml><?xml version="1.0" encoding="utf-8"?>
<sst xmlns="http://schemas.openxmlformats.org/spreadsheetml/2006/main" count="87" uniqueCount="73">
  <si>
    <t>№</t>
  </si>
  <si>
    <t>Наименование критерия</t>
  </si>
  <si>
    <t>Диапазон значений</t>
  </si>
  <si>
    <t>Итоговое значение (из оценочного листа)</t>
  </si>
  <si>
    <t>93-100</t>
  </si>
  <si>
    <t xml:space="preserve">  Дата заполнения: </t>
  </si>
  <si>
    <t>Балл</t>
  </si>
  <si>
    <t>Подготовка  обучающихся – призеров и дипломантов предметных олимпиад  по предмету</t>
  </si>
  <si>
    <t>Подготовка  обучающихся - призеров  и дипломантов конференций, конкурсов  по предмету</t>
  </si>
  <si>
    <t>Организация внеклассной  работы по предмету</t>
  </si>
  <si>
    <t>Участие учителя в профессиональных конкурсах, грантах</t>
  </si>
  <si>
    <t>Наличие и уровень распространения передового педагогического опыта.</t>
  </si>
  <si>
    <t>Коэф. Группы сл.</t>
  </si>
  <si>
    <t>Весовой коэф.</t>
  </si>
  <si>
    <t>40-85</t>
  </si>
  <si>
    <t>99-105</t>
  </si>
  <si>
    <t>0-6</t>
  </si>
  <si>
    <t>Россия</t>
  </si>
  <si>
    <t>Республ</t>
  </si>
  <si>
    <t>Муницип</t>
  </si>
  <si>
    <t>Участник</t>
  </si>
  <si>
    <t>Призер</t>
  </si>
  <si>
    <t>Победит</t>
  </si>
  <si>
    <t>Другие</t>
  </si>
  <si>
    <t>Очные</t>
  </si>
  <si>
    <t>Заочные</t>
  </si>
  <si>
    <t>Массовые</t>
  </si>
  <si>
    <t>Офиц.(Минист)</t>
  </si>
  <si>
    <t>Очная</t>
  </si>
  <si>
    <t>0-5</t>
  </si>
  <si>
    <t>Итого:</t>
  </si>
  <si>
    <t>Полугодовая</t>
  </si>
  <si>
    <t>Индивид.</t>
  </si>
  <si>
    <t>одно мероп.</t>
  </si>
  <si>
    <t>два и более</t>
  </si>
  <si>
    <t>Грант уч/поб.</t>
  </si>
  <si>
    <t>Конкурс поб.</t>
  </si>
  <si>
    <t>Конкурс приз.</t>
  </si>
  <si>
    <t>Конкурс участ.</t>
  </si>
  <si>
    <t>Годовая</t>
  </si>
  <si>
    <t>пассив. учас.</t>
  </si>
  <si>
    <t>Выст. не св. со шк.</t>
  </si>
  <si>
    <t>Выст. связ. со шк.</t>
  </si>
  <si>
    <t>9, 11 кл</t>
  </si>
  <si>
    <t>4, 6, 8, 10 кл</t>
  </si>
  <si>
    <t>5, 7 кл</t>
  </si>
  <si>
    <t>1,2,3 кл</t>
  </si>
  <si>
    <t>Мат, физ., хим</t>
  </si>
  <si>
    <t>Группа слож.</t>
  </si>
  <si>
    <t>Мат., физ, хим</t>
  </si>
  <si>
    <t>Русс, тат, ин.яз</t>
  </si>
  <si>
    <t>Ф.И.О. Учителя</t>
  </si>
  <si>
    <t>Школа</t>
  </si>
  <si>
    <t>Ведение документации</t>
  </si>
  <si>
    <t>Инструктажи по безоп., дневник</t>
  </si>
  <si>
    <t>Участие в общешкольных делах</t>
  </si>
  <si>
    <t>Руководство общественными орг.</t>
  </si>
  <si>
    <t>Взаимодействие с родителями</t>
  </si>
  <si>
    <t>Организация работы класса</t>
  </si>
  <si>
    <t>Параллель, название работы</t>
  </si>
  <si>
    <t>Ознакомлен и согласен: _________</t>
  </si>
  <si>
    <t>оценки</t>
  </si>
  <si>
    <t>Классы</t>
  </si>
  <si>
    <t>кол оценок</t>
  </si>
  <si>
    <t>баллы</t>
  </si>
  <si>
    <t>Участие учителя в профессиональных научно-практических конференциях, семинарах</t>
  </si>
  <si>
    <t>Расч. по формуле</t>
  </si>
  <si>
    <t>Оценочный лист эффективности деятельности педагогических работников МБОУ "Тимяшевская СОШ"</t>
  </si>
  <si>
    <t>Качество знаний обучающихся по итогам соответствующего вида контроля знаний (п.1)(годовая)</t>
  </si>
  <si>
    <t>Динамика среднего балла по предмету по всем классам (полугодовая)</t>
  </si>
  <si>
    <t>Успеваемость обучающихся (годовая)</t>
  </si>
  <si>
    <t>1 четверть</t>
  </si>
  <si>
    <t>2 четверть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</si>
</sst>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 tint="-0.1499984740745262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/>
    <xf numFmtId="2" fontId="0" fillId="0" borderId="0" xfId="0" applyNumberFormat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2" fontId="4" fillId="0" borderId="10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5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/>
    </xf>
    <xf numFmtId="2" fontId="5" fillId="3" borderId="0" xfId="0" applyNumberFormat="1" applyFont="1" applyFill="1"/>
    <xf numFmtId="0" fontId="4" fillId="5" borderId="10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5" borderId="15" xfId="0" applyFont="1" applyFill="1" applyBorder="1" applyAlignment="1" applyProtection="1">
      <alignment horizont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11" xfId="0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 wrapText="1"/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5" borderId="0" xfId="0" applyFont="1" applyFill="1" applyProtection="1">
      <protection locked="0"/>
    </xf>
    <xf numFmtId="14" fontId="4" fillId="0" borderId="0" xfId="0" applyNumberFormat="1" applyFont="1"/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5" borderId="1" xfId="0" applyFill="1" applyBorder="1" applyProtection="1">
      <protection locked="0"/>
    </xf>
    <xf numFmtId="2" fontId="0" fillId="2" borderId="0" xfId="0" applyNumberFormat="1" applyFill="1"/>
    <xf numFmtId="0" fontId="4" fillId="0" borderId="1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5" borderId="15" xfId="0" applyFont="1" applyFill="1" applyBorder="1" applyAlignment="1" applyProtection="1">
      <alignment horizontal="left" vertical="center" wrapText="1"/>
      <protection locked="0"/>
    </xf>
    <xf numFmtId="0" fontId="4" fillId="5" borderId="10" xfId="0" applyFont="1" applyFill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 vertical="center"/>
    </xf>
    <xf numFmtId="2" fontId="2" fillId="4" borderId="1" xfId="0" applyNumberFormat="1" applyFont="1" applyFill="1" applyBorder="1" applyAlignment="1">
      <alignment vertical="center"/>
    </xf>
    <xf numFmtId="2" fontId="2" fillId="4" borderId="10" xfId="0" applyNumberFormat="1" applyFont="1" applyFill="1" applyBorder="1" applyAlignment="1">
      <alignment vertical="center"/>
    </xf>
    <xf numFmtId="2" fontId="3" fillId="4" borderId="33" xfId="0" applyNumberFormat="1" applyFont="1" applyFill="1" applyBorder="1"/>
    <xf numFmtId="2" fontId="2" fillId="4" borderId="34" xfId="0" applyNumberFormat="1" applyFont="1" applyFill="1" applyBorder="1" applyAlignment="1">
      <alignment horizontal="center"/>
    </xf>
    <xf numFmtId="0" fontId="2" fillId="5" borderId="16" xfId="0" applyFont="1" applyFill="1" applyBorder="1" applyAlignment="1" applyProtection="1">
      <alignment horizontal="center" vertical="center"/>
      <protection locked="0"/>
    </xf>
    <xf numFmtId="0" fontId="4" fillId="4" borderId="15" xfId="0" applyFont="1" applyFill="1" applyBorder="1" applyAlignment="1">
      <alignment horizontal="center" vertical="center"/>
    </xf>
    <xf numFmtId="0" fontId="4" fillId="5" borderId="15" xfId="0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>
      <alignment vertical="center"/>
    </xf>
    <xf numFmtId="2" fontId="2" fillId="4" borderId="35" xfId="0" applyNumberFormat="1" applyFont="1" applyFill="1" applyBorder="1"/>
    <xf numFmtId="2" fontId="4" fillId="4" borderId="10" xfId="0" applyNumberFormat="1" applyFont="1" applyFill="1" applyBorder="1" applyAlignment="1">
      <alignment vertical="center"/>
    </xf>
    <xf numFmtId="0" fontId="4" fillId="4" borderId="15" xfId="0" applyFont="1" applyFill="1" applyBorder="1"/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36" xfId="0" applyFont="1" applyBorder="1" applyAlignment="1">
      <alignment vertical="center"/>
    </xf>
    <xf numFmtId="0" fontId="5" fillId="4" borderId="11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4" fillId="5" borderId="38" xfId="0" applyFont="1" applyFill="1" applyBorder="1" applyAlignment="1" applyProtection="1">
      <alignment horizontal="center" vertical="center" wrapText="1"/>
      <protection locked="0"/>
    </xf>
    <xf numFmtId="0" fontId="4" fillId="5" borderId="39" xfId="0" applyFont="1" applyFill="1" applyBorder="1" applyAlignment="1" applyProtection="1">
      <alignment horizontal="center" vertical="center" wrapText="1"/>
      <protection locked="0"/>
    </xf>
    <xf numFmtId="0" fontId="4" fillId="5" borderId="40" xfId="0" applyFont="1" applyFill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28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4" fillId="5" borderId="16" xfId="0" applyFont="1" applyFill="1" applyBorder="1" applyAlignment="1" applyProtection="1">
      <alignment horizontal="center"/>
      <protection locked="0"/>
    </xf>
    <xf numFmtId="0" fontId="4" fillId="5" borderId="30" xfId="0" applyFont="1" applyFill="1" applyBorder="1" applyAlignment="1" applyProtection="1">
      <alignment horizontal="center"/>
      <protection locked="0"/>
    </xf>
    <xf numFmtId="0" fontId="4" fillId="5" borderId="17" xfId="0" applyFont="1" applyFill="1" applyBorder="1" applyAlignment="1" applyProtection="1">
      <alignment horizontal="center"/>
      <protection locked="0"/>
    </xf>
    <xf numFmtId="2" fontId="4" fillId="0" borderId="16" xfId="0" applyNumberFormat="1" applyFont="1" applyBorder="1" applyAlignment="1">
      <alignment horizontal="center" vertical="center"/>
    </xf>
    <xf numFmtId="2" fontId="4" fillId="0" borderId="30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5" borderId="11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left" vertical="center" wrapText="1"/>
    </xf>
    <xf numFmtId="0" fontId="4" fillId="4" borderId="21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 applyProtection="1">
      <alignment horizontal="center"/>
      <protection locked="0"/>
    </xf>
    <xf numFmtId="0" fontId="4" fillId="5" borderId="28" xfId="0" applyFont="1" applyFill="1" applyBorder="1" applyAlignment="1" applyProtection="1">
      <alignment horizontal="center"/>
      <protection locked="0"/>
    </xf>
    <xf numFmtId="0" fontId="4" fillId="5" borderId="12" xfId="0" applyFont="1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>
      <alignment horizontal="center" vertical="center"/>
    </xf>
    <xf numFmtId="2" fontId="4" fillId="4" borderId="33" xfId="0" applyNumberFormat="1" applyFont="1" applyFill="1" applyBorder="1" applyAlignment="1">
      <alignment horizontal="center" vertical="center"/>
    </xf>
    <xf numFmtId="0" fontId="4" fillId="0" borderId="35" xfId="0" applyFont="1" applyBorder="1" applyAlignment="1">
      <alignment vertical="center"/>
    </xf>
    <xf numFmtId="0" fontId="4" fillId="4" borderId="15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 applyProtection="1">
      <alignment horizontal="center"/>
      <protection locked="0"/>
    </xf>
    <xf numFmtId="0" fontId="5" fillId="5" borderId="28" xfId="0" applyFont="1" applyFill="1" applyBorder="1" applyAlignment="1" applyProtection="1">
      <alignment horizontal="center"/>
      <protection locked="0"/>
    </xf>
    <xf numFmtId="0" fontId="5" fillId="5" borderId="12" xfId="0" applyFont="1" applyFill="1" applyBorder="1" applyAlignment="1" applyProtection="1">
      <alignment horizontal="center"/>
      <protection locked="0"/>
    </xf>
    <xf numFmtId="0" fontId="4" fillId="5" borderId="5" xfId="0" applyFont="1" applyFill="1" applyBorder="1" applyAlignment="1" applyProtection="1">
      <alignment horizontal="center"/>
      <protection locked="0"/>
    </xf>
    <xf numFmtId="0" fontId="4" fillId="5" borderId="29" xfId="0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0" fontId="5" fillId="5" borderId="11" xfId="0" applyFont="1" applyFill="1" applyBorder="1" applyAlignment="1" applyProtection="1">
      <alignment horizontal="center" vertical="center"/>
      <protection locked="0"/>
    </xf>
    <xf numFmtId="0" fontId="5" fillId="5" borderId="28" xfId="0" applyFont="1" applyFill="1" applyBorder="1" applyAlignment="1" applyProtection="1">
      <alignment horizontal="center" vertical="center"/>
      <protection locked="0"/>
    </xf>
    <xf numFmtId="0" fontId="5" fillId="5" borderId="12" xfId="0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4" fillId="5" borderId="29" xfId="0" applyFont="1" applyFill="1" applyBorder="1" applyAlignment="1" applyProtection="1">
      <alignment horizontal="center" vertical="center"/>
      <protection locked="0"/>
    </xf>
    <xf numFmtId="0" fontId="4" fillId="5" borderId="6" xfId="0" applyFont="1" applyFill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 applyProtection="1">
      <alignment horizontal="center" vertical="center"/>
      <protection locked="0"/>
    </xf>
    <xf numFmtId="0" fontId="4" fillId="5" borderId="30" xfId="0" applyFont="1" applyFill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 textRotation="90"/>
      <protection locked="0"/>
    </xf>
    <xf numFmtId="0" fontId="0" fillId="0" borderId="27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3"/>
  <sheetViews>
    <sheetView topLeftCell="A34" workbookViewId="0">
      <selection activeCell="D59" sqref="D59"/>
    </sheetView>
  </sheetViews>
  <sheetFormatPr defaultRowHeight="15" x14ac:dyDescent="0.25"/>
  <sheetData>
    <row r="1" spans="1:1" x14ac:dyDescent="0.25">
      <c r="A1" t="s">
        <v>17</v>
      </c>
    </row>
    <row r="2" spans="1:1" x14ac:dyDescent="0.25">
      <c r="A2" t="s">
        <v>18</v>
      </c>
    </row>
    <row r="3" spans="1:1" x14ac:dyDescent="0.25">
      <c r="A3" t="s">
        <v>19</v>
      </c>
    </row>
    <row r="4" spans="1:1" x14ac:dyDescent="0.25">
      <c r="A4" t="s">
        <v>52</v>
      </c>
    </row>
    <row r="6" spans="1:1" x14ac:dyDescent="0.25">
      <c r="A6" t="s">
        <v>20</v>
      </c>
    </row>
    <row r="7" spans="1:1" x14ac:dyDescent="0.25">
      <c r="A7" t="s">
        <v>21</v>
      </c>
    </row>
    <row r="8" spans="1:1" x14ac:dyDescent="0.25">
      <c r="A8" t="s">
        <v>22</v>
      </c>
    </row>
    <row r="10" spans="1:1" x14ac:dyDescent="0.25">
      <c r="A10" t="s">
        <v>27</v>
      </c>
    </row>
    <row r="11" spans="1:1" x14ac:dyDescent="0.25">
      <c r="A11" t="s">
        <v>23</v>
      </c>
    </row>
    <row r="13" spans="1:1" x14ac:dyDescent="0.25">
      <c r="A13" t="s">
        <v>24</v>
      </c>
    </row>
    <row r="14" spans="1:1" x14ac:dyDescent="0.25">
      <c r="A14" t="s">
        <v>25</v>
      </c>
    </row>
    <row r="16" spans="1:1" x14ac:dyDescent="0.25">
      <c r="A16" t="s">
        <v>32</v>
      </c>
    </row>
    <row r="17" spans="1:1" x14ac:dyDescent="0.25">
      <c r="A17" t="s">
        <v>26</v>
      </c>
    </row>
    <row r="19" spans="1:1" x14ac:dyDescent="0.25">
      <c r="A19" t="s">
        <v>27</v>
      </c>
    </row>
    <row r="21" spans="1:1" x14ac:dyDescent="0.25">
      <c r="A21" t="s">
        <v>28</v>
      </c>
    </row>
    <row r="23" spans="1:1" x14ac:dyDescent="0.25">
      <c r="A23" t="s">
        <v>22</v>
      </c>
    </row>
    <row r="24" spans="1:1" x14ac:dyDescent="0.25">
      <c r="A24" t="s">
        <v>21</v>
      </c>
    </row>
    <row r="26" spans="1:1" x14ac:dyDescent="0.25">
      <c r="A26" t="s">
        <v>33</v>
      </c>
    </row>
    <row r="27" spans="1:1" x14ac:dyDescent="0.25">
      <c r="A27" t="s">
        <v>34</v>
      </c>
    </row>
    <row r="29" spans="1:1" x14ac:dyDescent="0.25">
      <c r="A29" t="s">
        <v>35</v>
      </c>
    </row>
    <row r="30" spans="1:1" x14ac:dyDescent="0.25">
      <c r="A30" t="s">
        <v>36</v>
      </c>
    </row>
    <row r="31" spans="1:1" x14ac:dyDescent="0.25">
      <c r="A31" t="s">
        <v>37</v>
      </c>
    </row>
    <row r="32" spans="1:1" x14ac:dyDescent="0.25">
      <c r="A32" t="s">
        <v>38</v>
      </c>
    </row>
    <row r="34" spans="1:1" x14ac:dyDescent="0.25">
      <c r="A34" t="s">
        <v>42</v>
      </c>
    </row>
    <row r="35" spans="1:1" x14ac:dyDescent="0.25">
      <c r="A35" t="s">
        <v>41</v>
      </c>
    </row>
    <row r="36" spans="1:1" x14ac:dyDescent="0.25">
      <c r="A36" t="s">
        <v>40</v>
      </c>
    </row>
    <row r="38" spans="1:1" x14ac:dyDescent="0.25">
      <c r="A38" t="s">
        <v>47</v>
      </c>
    </row>
    <row r="39" spans="1:1" x14ac:dyDescent="0.25">
      <c r="A39" t="s">
        <v>43</v>
      </c>
    </row>
    <row r="40" spans="1:1" x14ac:dyDescent="0.25">
      <c r="A40" t="s">
        <v>44</v>
      </c>
    </row>
    <row r="41" spans="1:1" x14ac:dyDescent="0.25">
      <c r="A41" t="s">
        <v>45</v>
      </c>
    </row>
    <row r="42" spans="1:1" x14ac:dyDescent="0.25">
      <c r="A42" t="s">
        <v>46</v>
      </c>
    </row>
    <row r="44" spans="1:1" x14ac:dyDescent="0.25">
      <c r="A44" t="s">
        <v>49</v>
      </c>
    </row>
    <row r="45" spans="1:1" x14ac:dyDescent="0.25">
      <c r="A45" t="s">
        <v>50</v>
      </c>
    </row>
    <row r="46" spans="1:1" x14ac:dyDescent="0.25">
      <c r="A46" t="s">
        <v>23</v>
      </c>
    </row>
    <row r="48" spans="1:1" x14ac:dyDescent="0.25">
      <c r="A48" t="s">
        <v>53</v>
      </c>
    </row>
    <row r="49" spans="1:1" x14ac:dyDescent="0.25">
      <c r="A49" t="s">
        <v>54</v>
      </c>
    </row>
    <row r="50" spans="1:1" x14ac:dyDescent="0.25">
      <c r="A50" t="s">
        <v>58</v>
      </c>
    </row>
    <row r="51" spans="1:1" x14ac:dyDescent="0.25">
      <c r="A51" t="s">
        <v>55</v>
      </c>
    </row>
    <row r="52" spans="1:1" x14ac:dyDescent="0.25">
      <c r="A52" t="s">
        <v>56</v>
      </c>
    </row>
    <row r="53" spans="1:1" x14ac:dyDescent="0.25">
      <c r="A53" t="s">
        <v>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zoomScale="90" zoomScaleNormal="90" workbookViewId="0">
      <selection activeCell="J11" sqref="J11:K11"/>
    </sheetView>
  </sheetViews>
  <sheetFormatPr defaultRowHeight="15" x14ac:dyDescent="0.25"/>
  <cols>
    <col min="1" max="1" width="3.5703125" customWidth="1"/>
    <col min="2" max="2" width="32.42578125" customWidth="1"/>
    <col min="3" max="3" width="11.28515625" customWidth="1"/>
    <col min="4" max="4" width="7.5703125" customWidth="1"/>
    <col min="5" max="5" width="11.28515625" customWidth="1"/>
    <col min="6" max="6" width="10.85546875" customWidth="1"/>
    <col min="7" max="7" width="11.28515625" customWidth="1"/>
    <col min="8" max="8" width="7.7109375" customWidth="1"/>
    <col min="9" max="9" width="13.7109375" customWidth="1"/>
    <col min="10" max="11" width="6.7109375" customWidth="1"/>
    <col min="12" max="12" width="8.42578125" customWidth="1"/>
    <col min="13" max="13" width="9.140625" customWidth="1"/>
  </cols>
  <sheetData>
    <row r="1" spans="1:18" ht="19.5" customHeight="1" x14ac:dyDescent="0.25">
      <c r="A1" s="3" t="s">
        <v>67</v>
      </c>
    </row>
    <row r="2" spans="1:18" ht="18.75" customHeight="1" thickBot="1" x14ac:dyDescent="0.3">
      <c r="C2" s="13" t="s">
        <v>51</v>
      </c>
      <c r="E2" s="29"/>
    </row>
    <row r="3" spans="1:18" ht="21.75" customHeight="1" thickBot="1" x14ac:dyDescent="0.3">
      <c r="A3" s="58" t="s">
        <v>0</v>
      </c>
      <c r="B3" s="40" t="s">
        <v>1</v>
      </c>
      <c r="C3" s="56" t="s">
        <v>59</v>
      </c>
      <c r="D3" s="40" t="s">
        <v>2</v>
      </c>
      <c r="E3" s="126" t="s">
        <v>3</v>
      </c>
      <c r="F3" s="127"/>
      <c r="G3" s="128"/>
      <c r="H3" s="40" t="s">
        <v>13</v>
      </c>
      <c r="I3" s="40" t="s">
        <v>48</v>
      </c>
      <c r="J3" s="126" t="s">
        <v>12</v>
      </c>
      <c r="K3" s="128"/>
      <c r="L3" s="56" t="s">
        <v>66</v>
      </c>
      <c r="M3" s="57" t="s">
        <v>6</v>
      </c>
      <c r="N3" s="1"/>
      <c r="O3" s="1"/>
      <c r="P3" s="1"/>
      <c r="Q3" s="1"/>
      <c r="R3" s="2"/>
    </row>
    <row r="4" spans="1:18" ht="17.100000000000001" customHeight="1" x14ac:dyDescent="0.25">
      <c r="A4" s="105">
        <v>1</v>
      </c>
      <c r="B4" s="129" t="s">
        <v>70</v>
      </c>
      <c r="C4" s="22"/>
      <c r="D4" s="5" t="s">
        <v>4</v>
      </c>
      <c r="E4" s="132"/>
      <c r="F4" s="133"/>
      <c r="G4" s="134"/>
      <c r="H4" s="5">
        <v>10</v>
      </c>
      <c r="I4" s="16"/>
      <c r="J4" s="112">
        <f>IF(I4="Мат, физ., хим",1.2,IF(I4="9, 11 кл",1,IF(I4="4, 6, 8, 10 кл",0.9,IF(I4="5, 7 кл",0.8,IF(I4="1,2,3 кл",0.7,0)))))</f>
        <v>0</v>
      </c>
      <c r="K4" s="112"/>
      <c r="L4" s="46">
        <f>IF(((E4-93)/7)*H$4*J4&lt;0,0,IF(((E4-93)/7)*H$4*J4&gt;H$4,H$4,((E4-93)/7)*H$4*J4))</f>
        <v>0</v>
      </c>
      <c r="M4" s="47"/>
    </row>
    <row r="5" spans="1:18" ht="17.100000000000001" customHeight="1" x14ac:dyDescent="0.25">
      <c r="A5" s="116"/>
      <c r="B5" s="130"/>
      <c r="C5" s="23"/>
      <c r="D5" s="6"/>
      <c r="E5" s="135"/>
      <c r="F5" s="136"/>
      <c r="G5" s="137"/>
      <c r="H5" s="6"/>
      <c r="I5" s="17"/>
      <c r="J5" s="124">
        <f>IF(I5="Мат, физ., хим",1.2,IF(I5="9, 11 кл",1,IF(I5="4, 6, 8, 10 кл",0.9,IF(I5="5, 7 кл",0.8,IF(I5="1,2,3 кл",0.7,0)))))</f>
        <v>0</v>
      </c>
      <c r="K5" s="124"/>
      <c r="L5" s="45">
        <f t="shared" ref="L5:L6" si="0">IF(((E5-93)/7)*H$4*J5&lt;0,0,IF(((E5-93)/7)*H$4*J5&gt;H$4,H$4,((E5-93)/7)*H$4*J5))</f>
        <v>0</v>
      </c>
      <c r="M5" s="48">
        <f>IF(J6&lt;&gt;0,(L4+L5+L6)/3,IF(J5&lt;&gt;0,(L4+L5)/2,L4))</f>
        <v>0</v>
      </c>
    </row>
    <row r="6" spans="1:18" ht="17.100000000000001" customHeight="1" thickBot="1" x14ac:dyDescent="0.3">
      <c r="A6" s="106"/>
      <c r="B6" s="131"/>
      <c r="C6" s="49"/>
      <c r="D6" s="50"/>
      <c r="E6" s="138"/>
      <c r="F6" s="139"/>
      <c r="G6" s="140"/>
      <c r="H6" s="50"/>
      <c r="I6" s="51"/>
      <c r="J6" s="125">
        <f>IF(I6="Мат, физ., хим",1.2,IF(I6="9, 11 кл",1,IF(I6="4, 6, 8, 10 кл",0.9,IF(I6="5, 7 кл",0.8,IF(I6="1,2,3 кл",0.7,0)))))</f>
        <v>0</v>
      </c>
      <c r="K6" s="125"/>
      <c r="L6" s="52">
        <f t="shared" si="0"/>
        <v>0</v>
      </c>
      <c r="M6" s="53"/>
    </row>
    <row r="7" spans="1:18" ht="17.100000000000001" customHeight="1" x14ac:dyDescent="0.25">
      <c r="A7" s="105">
        <v>2</v>
      </c>
      <c r="B7" s="107" t="s">
        <v>68</v>
      </c>
      <c r="C7" s="22"/>
      <c r="D7" s="7" t="s">
        <v>14</v>
      </c>
      <c r="E7" s="118"/>
      <c r="F7" s="119"/>
      <c r="G7" s="120"/>
      <c r="H7" s="7">
        <v>10</v>
      </c>
      <c r="I7" s="18"/>
      <c r="J7" s="112">
        <f>IF(I7="Мат., физ, хим",1.2,IF(I7="Русс, тат, ин.яз",1,IF(I7="Другие",0.7,0)))</f>
        <v>0</v>
      </c>
      <c r="K7" s="112"/>
      <c r="L7" s="46">
        <f>IF(((E7-40)/45)*H$7*J7&lt;0,0,IF(((E7-40)/45)*H$7*J7&gt;H$7,H$7,((E7-40)/45)*H$7*J7))</f>
        <v>0</v>
      </c>
      <c r="M7" s="47"/>
    </row>
    <row r="8" spans="1:18" ht="17.100000000000001" customHeight="1" x14ac:dyDescent="0.25">
      <c r="A8" s="116"/>
      <c r="B8" s="117"/>
      <c r="C8" s="24"/>
      <c r="D8" s="8"/>
      <c r="E8" s="121"/>
      <c r="F8" s="122"/>
      <c r="G8" s="123"/>
      <c r="H8" s="8"/>
      <c r="I8" s="19"/>
      <c r="J8" s="124">
        <f t="shared" ref="J8:J9" si="1">IF(I8="Мат., физ, хим",1.2,IF(I8="Русс, тат, ин.яз",1,IF(I8="Другие",0.7,0)))</f>
        <v>0</v>
      </c>
      <c r="K8" s="124"/>
      <c r="L8" s="45">
        <f t="shared" ref="L8:L9" si="2">IF(((E8-40)/45)*H$7*J8&lt;0,0,IF(((E8-40)/45)*H$7*J8&gt;H$7,H$7,((E8-40)/45)*H$7*J8))</f>
        <v>0</v>
      </c>
      <c r="M8" s="48">
        <f>IF(J9&lt;&gt;0,(L7+L8+L9)/3,IF(J8&lt;&gt;0,(L7+L8)/2,L7))</f>
        <v>0</v>
      </c>
    </row>
    <row r="9" spans="1:18" ht="17.100000000000001" customHeight="1" thickBot="1" x14ac:dyDescent="0.3">
      <c r="A9" s="106"/>
      <c r="B9" s="108"/>
      <c r="C9" s="25"/>
      <c r="D9" s="9"/>
      <c r="E9" s="87"/>
      <c r="F9" s="88"/>
      <c r="G9" s="89"/>
      <c r="H9" s="9"/>
      <c r="I9" s="20"/>
      <c r="J9" s="125">
        <f t="shared" si="1"/>
        <v>0</v>
      </c>
      <c r="K9" s="125"/>
      <c r="L9" s="52">
        <f t="shared" si="2"/>
        <v>0</v>
      </c>
      <c r="M9" s="53"/>
    </row>
    <row r="10" spans="1:18" ht="17.100000000000001" customHeight="1" x14ac:dyDescent="0.25">
      <c r="A10" s="105">
        <v>3</v>
      </c>
      <c r="B10" s="107" t="s">
        <v>69</v>
      </c>
      <c r="C10" s="60" t="s">
        <v>71</v>
      </c>
      <c r="D10" s="7" t="s">
        <v>15</v>
      </c>
      <c r="E10" s="109"/>
      <c r="F10" s="110"/>
      <c r="G10" s="111"/>
      <c r="H10" s="7">
        <v>8</v>
      </c>
      <c r="I10" s="7"/>
      <c r="J10" s="112"/>
      <c r="K10" s="112"/>
      <c r="L10" s="54">
        <f>IF(E10&lt;&gt;0,(E11/E10*100-99)/6*H10,0)</f>
        <v>0</v>
      </c>
      <c r="M10" s="113">
        <f>IF(L10&gt;8,8,IF(L10&lt;0,0,L10))</f>
        <v>0</v>
      </c>
    </row>
    <row r="11" spans="1:18" ht="17.100000000000001" customHeight="1" thickBot="1" x14ac:dyDescent="0.3">
      <c r="A11" s="106"/>
      <c r="B11" s="108"/>
      <c r="C11" s="61" t="s">
        <v>72</v>
      </c>
      <c r="D11" s="9"/>
      <c r="E11" s="87"/>
      <c r="F11" s="88"/>
      <c r="G11" s="89"/>
      <c r="H11" s="9"/>
      <c r="I11" s="9"/>
      <c r="J11" s="115"/>
      <c r="K11" s="115"/>
      <c r="L11" s="55"/>
      <c r="M11" s="114"/>
    </row>
    <row r="12" spans="1:18" ht="17.100000000000001" customHeight="1" x14ac:dyDescent="0.25">
      <c r="A12" s="99">
        <v>4</v>
      </c>
      <c r="B12" s="100" t="s">
        <v>7</v>
      </c>
      <c r="C12" s="101" t="s">
        <v>31</v>
      </c>
      <c r="D12" s="102" t="s">
        <v>16</v>
      </c>
      <c r="E12" s="21"/>
      <c r="F12" s="21"/>
      <c r="G12" s="21"/>
      <c r="H12" s="103">
        <v>6</v>
      </c>
      <c r="I12" s="104"/>
      <c r="J12" s="44">
        <f>IF(E12="муницип",4,IF(E12="республ",5,IF(E12="Россия",6,0)))</f>
        <v>0</v>
      </c>
      <c r="K12" s="44">
        <f>IF(OR(E13="Участник",E14="другие",E15="Заочные"),0,IF(F12="муницип",4,IF(F12="республ",5,IF(F12="Россия",6,0))))</f>
        <v>0</v>
      </c>
      <c r="L12" s="44">
        <f>IF(OR(E13="Участник",E14="другие",E15="Заочные"),0,IF(G12="муницип",4,IF(G12="республ",5,IF(G12="Россия",6,0))))</f>
        <v>0</v>
      </c>
      <c r="M12" s="98">
        <f>IF(J12*(J13+J14+J15+J16)/4+L12*(L13+L14+L15+L16)/4+K12*(K13+K14+K15+K16)/4&gt;6,6,J12*(J13+J14+J15+J16)/4+L12*(L13+L14+L15+L16)/4+K12*(K13+K14+K15+K16)/4)</f>
        <v>0</v>
      </c>
    </row>
    <row r="13" spans="1:18" ht="17.100000000000001" customHeight="1" x14ac:dyDescent="0.25">
      <c r="A13" s="99"/>
      <c r="B13" s="100"/>
      <c r="C13" s="101"/>
      <c r="D13" s="102"/>
      <c r="E13" s="21"/>
      <c r="F13" s="21"/>
      <c r="G13" s="21"/>
      <c r="H13" s="103"/>
      <c r="I13" s="104"/>
      <c r="J13" s="11">
        <f>IF(E13="Участник",0.5,IF(E13="Призер",0.8,IF(E13="Победит",1,0)))</f>
        <v>0</v>
      </c>
      <c r="K13" s="11">
        <f>IF(F13="Участник",0.5,IF(F13="Призер",0.8,IF(F13="Победит",1,0)))</f>
        <v>0</v>
      </c>
      <c r="L13" s="11">
        <f>IF(G13="Участник",0.5,IF(G13="Призер",0.8,IF(G13="Победит",1,0)))</f>
        <v>0</v>
      </c>
      <c r="M13" s="98"/>
      <c r="P13" s="4"/>
    </row>
    <row r="14" spans="1:18" ht="17.100000000000001" customHeight="1" x14ac:dyDescent="0.25">
      <c r="A14" s="99"/>
      <c r="B14" s="100"/>
      <c r="C14" s="101"/>
      <c r="D14" s="102"/>
      <c r="E14" s="21"/>
      <c r="F14" s="21"/>
      <c r="G14" s="21"/>
      <c r="H14" s="103"/>
      <c r="I14" s="104"/>
      <c r="J14" s="11">
        <f>IF(E14="Офиц.(Минист)",1,IF(E14="Другие",0.3,0))</f>
        <v>0</v>
      </c>
      <c r="K14" s="11">
        <f>IF(F14="Офиц.(Минист)",1,IF(F14="Другие",0.3,0))</f>
        <v>0</v>
      </c>
      <c r="L14" s="11">
        <f>IF(G14="Офиц.(Минист)",1,IF(G14="Другие",0.3,0))</f>
        <v>0</v>
      </c>
      <c r="M14" s="98"/>
    </row>
    <row r="15" spans="1:18" ht="17.100000000000001" customHeight="1" x14ac:dyDescent="0.25">
      <c r="A15" s="99"/>
      <c r="B15" s="100"/>
      <c r="C15" s="101"/>
      <c r="D15" s="102"/>
      <c r="E15" s="21"/>
      <c r="F15" s="21"/>
      <c r="G15" s="21"/>
      <c r="H15" s="103"/>
      <c r="I15" s="104"/>
      <c r="J15" s="11">
        <f>IF(E15="Очные",1,IF(E15="Заочные",0.3,0))</f>
        <v>0</v>
      </c>
      <c r="K15" s="11">
        <f>IF(F15="Очные",1,IF(F15="Заочные",0.3,0))</f>
        <v>0</v>
      </c>
      <c r="L15" s="11">
        <f>IF(G15="Очные",1,IF(G15="Заочные",0.3,0))</f>
        <v>0</v>
      </c>
      <c r="M15" s="98"/>
    </row>
    <row r="16" spans="1:18" ht="17.100000000000001" customHeight="1" thickBot="1" x14ac:dyDescent="0.3">
      <c r="A16" s="69"/>
      <c r="B16" s="71"/>
      <c r="C16" s="73"/>
      <c r="D16" s="94"/>
      <c r="E16" s="38"/>
      <c r="F16" s="38"/>
      <c r="G16" s="38"/>
      <c r="H16" s="78"/>
      <c r="I16" s="79"/>
      <c r="J16" s="12">
        <f>IF(E16="Индивид.",1,IF(E16="Массовые",0.5,0))</f>
        <v>0</v>
      </c>
      <c r="K16" s="12">
        <f>IF(F16="Индивид.",1,IF(F16="Массовые",0.5,0))</f>
        <v>0</v>
      </c>
      <c r="L16" s="12">
        <f>IF(G16="Индивид.",1,IF(G16="Массовые",0.5,0))</f>
        <v>0</v>
      </c>
      <c r="M16" s="86"/>
    </row>
    <row r="17" spans="1:13" ht="17.100000000000001" customHeight="1" x14ac:dyDescent="0.25">
      <c r="A17" s="68">
        <v>5</v>
      </c>
      <c r="B17" s="70" t="s">
        <v>8</v>
      </c>
      <c r="C17" s="72" t="s">
        <v>31</v>
      </c>
      <c r="D17" s="93" t="s">
        <v>29</v>
      </c>
      <c r="E17" s="39"/>
      <c r="F17" s="39"/>
      <c r="G17" s="39"/>
      <c r="H17" s="76">
        <v>5</v>
      </c>
      <c r="I17" s="77"/>
      <c r="J17" s="10">
        <f>IF(E17="муницип",3,IF(E17="республ",4,IF(E17="Россия",5,0)))</f>
        <v>0</v>
      </c>
      <c r="K17" s="10">
        <f>IF(OR(E18="Участник",E19="другие"),0,IF(F17="муницип",3,IF(F17="республ",4,IF(F17="Россия",5,0))))</f>
        <v>0</v>
      </c>
      <c r="L17" s="10">
        <f>IF(OR(E18="Участник",E19="другие"),0,IF(G17="муницип",3,IF(G17="республ",4,IF(G17="Россия",5,0))))</f>
        <v>0</v>
      </c>
      <c r="M17" s="85">
        <f>IF(J17*(J18+J19+J20+J21)/4+L17*(L18+L19+L20+L21)/4+K17*(K18+K19+K20+K21)/4&gt;5,5,J17*(J18+J19+J20+J21)/4+L17*(L18+L19+L20+L21)/4+K17*(K18+K19+K20+K21)/4)</f>
        <v>0</v>
      </c>
    </row>
    <row r="18" spans="1:13" ht="17.100000000000001" customHeight="1" x14ac:dyDescent="0.25">
      <c r="A18" s="99"/>
      <c r="B18" s="100"/>
      <c r="C18" s="101"/>
      <c r="D18" s="102"/>
      <c r="E18" s="21"/>
      <c r="F18" s="21"/>
      <c r="G18" s="21"/>
      <c r="H18" s="103"/>
      <c r="I18" s="104"/>
      <c r="J18" s="11">
        <f>IF(E18="Участник",0.5,IF(E18="Призер",0.8,IF(E18="Победит",1,0)))</f>
        <v>0</v>
      </c>
      <c r="K18" s="11">
        <f>IF(F18="Участник",0.5,IF(F18="Призер",0.8,IF(F18="Победит",1,0)))</f>
        <v>0</v>
      </c>
      <c r="L18" s="11">
        <f>IF(G18="Участник",0.5,IF(G18="Призер",0.8,IF(G18="Победит",1,0)))</f>
        <v>0</v>
      </c>
      <c r="M18" s="98"/>
    </row>
    <row r="19" spans="1:13" ht="17.100000000000001" customHeight="1" x14ac:dyDescent="0.25">
      <c r="A19" s="99"/>
      <c r="B19" s="100"/>
      <c r="C19" s="101"/>
      <c r="D19" s="102"/>
      <c r="E19" s="21"/>
      <c r="F19" s="21"/>
      <c r="G19" s="21"/>
      <c r="H19" s="103"/>
      <c r="I19" s="104"/>
      <c r="J19" s="11">
        <f>IF(E19="Офиц.(Минист)",1,IF(E19="Другие",0.3,0))</f>
        <v>0</v>
      </c>
      <c r="K19" s="11">
        <f>IF(F19="Офиц.(Минист)",1,IF(F19="Другие",0.3,0))</f>
        <v>0</v>
      </c>
      <c r="L19" s="11">
        <f>IF(G19="Офиц.(Минист)",1,IF(G19="Другие",0.3,0))</f>
        <v>0</v>
      </c>
      <c r="M19" s="98"/>
    </row>
    <row r="20" spans="1:13" ht="17.100000000000001" customHeight="1" x14ac:dyDescent="0.25">
      <c r="A20" s="99"/>
      <c r="B20" s="100"/>
      <c r="C20" s="101"/>
      <c r="D20" s="102"/>
      <c r="E20" s="21"/>
      <c r="F20" s="21"/>
      <c r="G20" s="21"/>
      <c r="H20" s="103"/>
      <c r="I20" s="104"/>
      <c r="J20" s="11">
        <f>IF(E20="Очные",1,IF(E20="Заочные",0.3,0))</f>
        <v>0</v>
      </c>
      <c r="K20" s="11">
        <f>IF(F20="Очные",1,IF(F20="Заочные",0.3,0))</f>
        <v>0</v>
      </c>
      <c r="L20" s="11">
        <f>IF(G20="Очные",1,IF(G20="Заочные",0.3,0))</f>
        <v>0</v>
      </c>
      <c r="M20" s="98"/>
    </row>
    <row r="21" spans="1:13" ht="17.100000000000001" customHeight="1" thickBot="1" x14ac:dyDescent="0.3">
      <c r="A21" s="69"/>
      <c r="B21" s="71"/>
      <c r="C21" s="73"/>
      <c r="D21" s="94"/>
      <c r="E21" s="38"/>
      <c r="F21" s="38"/>
      <c r="G21" s="38"/>
      <c r="H21" s="78"/>
      <c r="I21" s="79"/>
      <c r="J21" s="12">
        <f>IF(E21="Индивид.",1,IF(E21="Массовые",0.5,0))</f>
        <v>0</v>
      </c>
      <c r="K21" s="12">
        <f>IF(F21="Индивид.",1,IF(F21="Массовые",0.5,0))</f>
        <v>0</v>
      </c>
      <c r="L21" s="12">
        <f>IF(G21="Индивид.",1,IF(G21="Массовые",0.5,0))</f>
        <v>0</v>
      </c>
      <c r="M21" s="86"/>
    </row>
    <row r="22" spans="1:13" ht="17.100000000000001" customHeight="1" x14ac:dyDescent="0.25">
      <c r="A22" s="68">
        <v>6</v>
      </c>
      <c r="B22" s="70" t="s">
        <v>9</v>
      </c>
      <c r="C22" s="72" t="s">
        <v>31</v>
      </c>
      <c r="D22" s="93" t="s">
        <v>29</v>
      </c>
      <c r="E22" s="95"/>
      <c r="F22" s="96"/>
      <c r="G22" s="97"/>
      <c r="H22" s="76">
        <v>5</v>
      </c>
      <c r="I22" s="77"/>
      <c r="J22" s="82">
        <f>IF(E22="муницип",0.9,IF(E22="республ",1,IF(E22="Россия",1,IF(E22="Школа",0.8,0))))</f>
        <v>0</v>
      </c>
      <c r="K22" s="83"/>
      <c r="L22" s="84"/>
      <c r="M22" s="85">
        <f>J22*J23</f>
        <v>0</v>
      </c>
    </row>
    <row r="23" spans="1:13" ht="17.100000000000001" customHeight="1" thickBot="1" x14ac:dyDescent="0.3">
      <c r="A23" s="69"/>
      <c r="B23" s="71"/>
      <c r="C23" s="73"/>
      <c r="D23" s="94"/>
      <c r="E23" s="87"/>
      <c r="F23" s="88"/>
      <c r="G23" s="89"/>
      <c r="H23" s="78"/>
      <c r="I23" s="79"/>
      <c r="J23" s="90">
        <f>IF(E23="одно мероп.",2,IF(E23="два и более",5,0))</f>
        <v>0</v>
      </c>
      <c r="K23" s="91"/>
      <c r="L23" s="92"/>
      <c r="M23" s="86"/>
    </row>
    <row r="24" spans="1:13" ht="17.100000000000001" customHeight="1" x14ac:dyDescent="0.25">
      <c r="A24" s="68">
        <v>7</v>
      </c>
      <c r="B24" s="70" t="s">
        <v>65</v>
      </c>
      <c r="C24" s="72" t="s">
        <v>31</v>
      </c>
      <c r="D24" s="93" t="s">
        <v>29</v>
      </c>
      <c r="E24" s="39"/>
      <c r="F24" s="39"/>
      <c r="G24" s="39"/>
      <c r="H24" s="76">
        <v>5</v>
      </c>
      <c r="I24" s="77"/>
      <c r="J24" s="10">
        <f>IF(E24="муницип",3,IF(E24="республ",4,IF(E24="Россия",5,0)))</f>
        <v>0</v>
      </c>
      <c r="K24" s="10">
        <f>IF(F24="муницип",3,IF(F24="республ",4,IF(F24="Россия",5,0)))</f>
        <v>0</v>
      </c>
      <c r="L24" s="10">
        <f>IF(G24="муницип",3,IF(G24="республ",4,IF(G24="Россия",5,0)))</f>
        <v>0</v>
      </c>
      <c r="M24" s="80">
        <f>IF(J24*J25+L24*L25+K24*K25&gt;5,5,J24*J25+L24*L25+K24*K25)</f>
        <v>0</v>
      </c>
    </row>
    <row r="25" spans="1:13" ht="17.100000000000001" customHeight="1" thickBot="1" x14ac:dyDescent="0.3">
      <c r="A25" s="69"/>
      <c r="B25" s="71"/>
      <c r="C25" s="73"/>
      <c r="D25" s="94"/>
      <c r="E25" s="20"/>
      <c r="F25" s="20"/>
      <c r="G25" s="20"/>
      <c r="H25" s="78"/>
      <c r="I25" s="79"/>
      <c r="J25" s="12">
        <f>IF(E25="Выст. связ. со шк.",1,IF(E25="Выст. не св. со шк.",0.3,IF(E25="пассив. учас.",0.1,0)))</f>
        <v>0</v>
      </c>
      <c r="K25" s="12">
        <f>IF(F25="Выст. связ. со шк.",1,IF(F25="Выст. не св. со шк.",0.3,IF(F25="пассив. учас.",0.1,0)))</f>
        <v>0</v>
      </c>
      <c r="L25" s="12">
        <f>IF(G25="Выст. связ. со шк.",1,IF(G25="Выст. не св. со шк.",0.3,IF(G25="пассив. учас.",0.1,0)))</f>
        <v>0</v>
      </c>
      <c r="M25" s="81"/>
    </row>
    <row r="26" spans="1:13" ht="17.100000000000001" customHeight="1" x14ac:dyDescent="0.25">
      <c r="A26" s="68">
        <v>8</v>
      </c>
      <c r="B26" s="70" t="s">
        <v>10</v>
      </c>
      <c r="C26" s="72" t="s">
        <v>31</v>
      </c>
      <c r="D26" s="74" t="s">
        <v>29</v>
      </c>
      <c r="E26" s="39"/>
      <c r="F26" s="39"/>
      <c r="G26" s="39"/>
      <c r="H26" s="76">
        <v>5</v>
      </c>
      <c r="I26" s="77"/>
      <c r="J26" s="36">
        <f>IF(E26="муницип",3,IF(E26="республ",4,IF(E26="Россия",5,0)))</f>
        <v>0</v>
      </c>
      <c r="K26" s="36">
        <f>IF(F26="муницип",3,IF(F26="республ",4,IF(F26="Россия",5,0)))</f>
        <v>0</v>
      </c>
      <c r="L26" s="36">
        <f>IF(G26="муницип",3,IF(G26="республ",4,IF(G26="Россия",5,0)))</f>
        <v>0</v>
      </c>
      <c r="M26" s="80">
        <f>IF(J26*J27+L26*L27+K26*K27&gt;5,5,J26*J27+L26*L27+K26*K27)</f>
        <v>0</v>
      </c>
    </row>
    <row r="27" spans="1:13" ht="17.100000000000001" customHeight="1" thickBot="1" x14ac:dyDescent="0.3">
      <c r="A27" s="69"/>
      <c r="B27" s="71"/>
      <c r="C27" s="73"/>
      <c r="D27" s="75"/>
      <c r="E27" s="20"/>
      <c r="F27" s="20"/>
      <c r="G27" s="20"/>
      <c r="H27" s="78"/>
      <c r="I27" s="79"/>
      <c r="J27" s="37">
        <f>IF(E27="Грант уч/поб.",1,IF(E27="Конкурс поб.",1,IF(E27="Конкурс приз.",0.8,IF(E27="Конкурс участ.",0.5,0))))</f>
        <v>0</v>
      </c>
      <c r="K27" s="37">
        <f>IF(F27="Грант уч/поб.",1,IF(F27="Конкурс поб.",1,IF(F27="Конкурс приз.",0.8,IF(F27="Конкурс участ.",0.5,0))))</f>
        <v>0</v>
      </c>
      <c r="L27" s="37">
        <f>IF(G27="Грант уч/поб.",1,IF(G27="Конкурс поб.",1,IF(G27="Конкурс приз.",0.8,IF(G27="Конкурс участ.",0.5,0))))</f>
        <v>0</v>
      </c>
      <c r="M27" s="81"/>
    </row>
    <row r="28" spans="1:13" ht="24.75" customHeight="1" thickBot="1" x14ac:dyDescent="0.3">
      <c r="A28" s="59">
        <v>9</v>
      </c>
      <c r="B28" s="41" t="s">
        <v>11</v>
      </c>
      <c r="C28" s="41" t="s">
        <v>39</v>
      </c>
      <c r="D28" s="42" t="s">
        <v>16</v>
      </c>
      <c r="E28" s="62"/>
      <c r="F28" s="63"/>
      <c r="G28" s="64"/>
      <c r="H28" s="65">
        <v>6</v>
      </c>
      <c r="I28" s="66"/>
      <c r="J28" s="65">
        <f>IF(E28="муницип",2,IF(E28="республ",4,IF(E28="Россия",6,0)))</f>
        <v>0</v>
      </c>
      <c r="K28" s="67"/>
      <c r="L28" s="66"/>
      <c r="M28" s="43">
        <f>J28</f>
        <v>0</v>
      </c>
    </row>
    <row r="29" spans="1:13" ht="12.75" customHeight="1" x14ac:dyDescent="0.25">
      <c r="L29" s="14" t="s">
        <v>30</v>
      </c>
      <c r="M29" s="15">
        <f>M5+M8+M10+M12+M17+M22+M24+M26+M28</f>
        <v>0</v>
      </c>
    </row>
    <row r="30" spans="1:13" ht="12" customHeight="1" x14ac:dyDescent="0.25">
      <c r="B30" s="26" t="s">
        <v>60</v>
      </c>
      <c r="C30" s="27">
        <f>E2</f>
        <v>0</v>
      </c>
      <c r="D30" s="13"/>
      <c r="E30" s="28" t="s">
        <v>5</v>
      </c>
      <c r="F30" s="13"/>
      <c r="G30" s="30">
        <f ca="1">TODAY()</f>
        <v>46007</v>
      </c>
    </row>
  </sheetData>
  <sheetProtection algorithmName="SHA-512" hashValue="PgwXe/CL0VZ/ptbfY+J5MDBt6fw8nhuVkXpx3kaLezX+vmJfNZGfTm6qY56QDA3kSBYlYi9QF26OWXfRCyQuWQ==" saltValue="6ZiZIuh0J7Le2AOXxfSqMA==" spinCount="100000" sheet="1" objects="1" scenarios="1"/>
  <mergeCells count="62">
    <mergeCell ref="E3:G3"/>
    <mergeCell ref="J3:K3"/>
    <mergeCell ref="A4:A6"/>
    <mergeCell ref="B4:B6"/>
    <mergeCell ref="E4:G4"/>
    <mergeCell ref="J4:K4"/>
    <mergeCell ref="E5:G5"/>
    <mergeCell ref="J5:K5"/>
    <mergeCell ref="E6:G6"/>
    <mergeCell ref="J6:K6"/>
    <mergeCell ref="A7:A9"/>
    <mergeCell ref="B7:B9"/>
    <mergeCell ref="E7:G7"/>
    <mergeCell ref="J7:K7"/>
    <mergeCell ref="E8:G8"/>
    <mergeCell ref="J8:K8"/>
    <mergeCell ref="E9:G9"/>
    <mergeCell ref="J9:K9"/>
    <mergeCell ref="A10:A11"/>
    <mergeCell ref="B10:B11"/>
    <mergeCell ref="E10:G10"/>
    <mergeCell ref="J10:K10"/>
    <mergeCell ref="M10:M11"/>
    <mergeCell ref="E11:G11"/>
    <mergeCell ref="J11:K11"/>
    <mergeCell ref="M17:M21"/>
    <mergeCell ref="A12:A16"/>
    <mergeCell ref="B12:B16"/>
    <mergeCell ref="C12:C16"/>
    <mergeCell ref="D12:D16"/>
    <mergeCell ref="H12:I16"/>
    <mergeCell ref="M12:M16"/>
    <mergeCell ref="A17:A21"/>
    <mergeCell ref="B17:B21"/>
    <mergeCell ref="C17:C21"/>
    <mergeCell ref="D17:D21"/>
    <mergeCell ref="H17:I21"/>
    <mergeCell ref="A22:A23"/>
    <mergeCell ref="B22:B23"/>
    <mergeCell ref="C22:C23"/>
    <mergeCell ref="D22:D23"/>
    <mergeCell ref="E22:G22"/>
    <mergeCell ref="A24:A25"/>
    <mergeCell ref="B24:B25"/>
    <mergeCell ref="C24:C25"/>
    <mergeCell ref="D24:D25"/>
    <mergeCell ref="H24:I25"/>
    <mergeCell ref="M26:M27"/>
    <mergeCell ref="J22:L22"/>
    <mergeCell ref="M22:M23"/>
    <mergeCell ref="E23:G23"/>
    <mergeCell ref="J23:L23"/>
    <mergeCell ref="M24:M25"/>
    <mergeCell ref="H22:I23"/>
    <mergeCell ref="E28:G28"/>
    <mergeCell ref="H28:I28"/>
    <mergeCell ref="J28:L28"/>
    <mergeCell ref="A26:A27"/>
    <mergeCell ref="B26:B27"/>
    <mergeCell ref="C26:C27"/>
    <mergeCell ref="D26:D27"/>
    <mergeCell ref="H26:I27"/>
  </mergeCells>
  <dataValidations count="13">
    <dataValidation type="list" allowBlank="1" showInputMessage="1" showErrorMessage="1" sqref="I7:I9">
      <formula1>физ</formula1>
    </dataValidation>
    <dataValidation type="list" allowBlank="1" showInputMessage="1" showErrorMessage="1" sqref="I4:I6">
      <formula1>Матем</formula1>
    </dataValidation>
    <dataValidation type="list" allowBlank="1" showInputMessage="1" showErrorMessage="1" sqref="E25:G25">
      <formula1>конфер</formula1>
    </dataValidation>
    <dataValidation type="list" allowBlank="1" showInputMessage="1" showErrorMessage="1" sqref="E27:G27">
      <formula1>Грант</formula1>
    </dataValidation>
    <dataValidation type="list" allowBlank="1" showInputMessage="1" showErrorMessage="1" sqref="E23:G23">
      <formula1>Меропр</formula1>
    </dataValidation>
    <dataValidation type="list" allowBlank="1" showInputMessage="1" showErrorMessage="1" sqref="F13:G13 F18:G18">
      <formula1>Победа</formula1>
    </dataValidation>
    <dataValidation type="list" allowBlank="1" showInputMessage="1" showErrorMessage="1" sqref="F15:G15">
      <formula1>Очная</formula1>
    </dataValidation>
    <dataValidation type="list" allowBlank="1" showInputMessage="1" showErrorMessage="1" sqref="F14:G14 F19:G19">
      <formula1>Офиц</formula1>
    </dataValidation>
    <dataValidation type="list" allowBlank="1" showInputMessage="1" showErrorMessage="1" sqref="E24:G24 E12:G12 E26:G26 E28:F28 E17:G17 E22:F22">
      <formula1>список1</formula1>
    </dataValidation>
    <dataValidation type="list" allowBlank="1" showInputMessage="1" showErrorMessage="1" sqref="E13 E18">
      <formula1>список2</formula1>
    </dataValidation>
    <dataValidation type="list" allowBlank="1" showInputMessage="1" showErrorMessage="1" sqref="E14 E19">
      <formula1>список3</formula1>
    </dataValidation>
    <dataValidation type="list" allowBlank="1" showInputMessage="1" showErrorMessage="1" sqref="E15 E20:G20">
      <formula1>список4</formula1>
    </dataValidation>
    <dataValidation type="list" allowBlank="1" showInputMessage="1" showErrorMessage="1" sqref="E21:G21 E16:G16">
      <formula1>список5</formula1>
    </dataValidation>
  </dataValidations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L31" sqref="L31"/>
    </sheetView>
  </sheetViews>
  <sheetFormatPr defaultRowHeight="15" x14ac:dyDescent="0.25"/>
  <cols>
    <col min="1" max="1" width="4.42578125" customWidth="1"/>
  </cols>
  <sheetData>
    <row r="1" spans="1:13" x14ac:dyDescent="0.25">
      <c r="A1" s="143" t="s">
        <v>71</v>
      </c>
      <c r="B1" s="143"/>
      <c r="C1" s="143"/>
      <c r="D1" s="143"/>
      <c r="E1" s="143"/>
      <c r="F1" s="143"/>
      <c r="G1" s="31"/>
      <c r="H1" s="31"/>
      <c r="I1" s="144" t="s">
        <v>72</v>
      </c>
      <c r="J1" s="144"/>
      <c r="K1" s="144"/>
      <c r="L1" s="144"/>
      <c r="M1" s="31"/>
    </row>
    <row r="2" spans="1:13" x14ac:dyDescent="0.25">
      <c r="A2" s="31"/>
      <c r="B2" s="32" t="s">
        <v>61</v>
      </c>
      <c r="C2" s="33">
        <v>5</v>
      </c>
      <c r="D2" s="33">
        <v>4</v>
      </c>
      <c r="E2" s="33">
        <v>3</v>
      </c>
      <c r="F2" s="33">
        <v>2</v>
      </c>
      <c r="G2" s="31"/>
      <c r="H2" s="31"/>
      <c r="I2" s="33">
        <v>5</v>
      </c>
      <c r="J2" s="33">
        <v>4</v>
      </c>
      <c r="K2" s="33">
        <v>3</v>
      </c>
      <c r="L2" s="33">
        <v>2</v>
      </c>
      <c r="M2" s="31"/>
    </row>
    <row r="3" spans="1:13" x14ac:dyDescent="0.25">
      <c r="A3" s="141" t="s">
        <v>62</v>
      </c>
      <c r="B3" s="34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x14ac:dyDescent="0.25">
      <c r="A4" s="141"/>
      <c r="B4" s="34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x14ac:dyDescent="0.25">
      <c r="A5" s="141"/>
      <c r="B5" s="34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x14ac:dyDescent="0.25">
      <c r="A6" s="141"/>
      <c r="B6" s="34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x14ac:dyDescent="0.25">
      <c r="A7" s="141"/>
      <c r="B7" s="34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 x14ac:dyDescent="0.25">
      <c r="A8" s="141"/>
      <c r="B8" s="34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 x14ac:dyDescent="0.25">
      <c r="A9" s="141"/>
      <c r="B9" s="34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x14ac:dyDescent="0.25">
      <c r="A10" s="141"/>
      <c r="B10" s="34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3" x14ac:dyDescent="0.25">
      <c r="A11" s="141"/>
      <c r="B11" s="34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spans="1:13" x14ac:dyDescent="0.25">
      <c r="A12" s="141"/>
      <c r="B12" s="34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3" x14ac:dyDescent="0.25">
      <c r="A13" s="141"/>
      <c r="B13" s="34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141"/>
      <c r="B14" s="34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 spans="1:13" x14ac:dyDescent="0.25">
      <c r="A15" s="141"/>
      <c r="B15" s="34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1:13" x14ac:dyDescent="0.25">
      <c r="A16" s="141"/>
      <c r="B16" s="34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13" x14ac:dyDescent="0.25">
      <c r="A17" s="141"/>
      <c r="B17" s="34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</row>
    <row r="18" spans="1:13" x14ac:dyDescent="0.25">
      <c r="A18" s="141"/>
      <c r="B18" s="34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</row>
    <row r="19" spans="1:13" x14ac:dyDescent="0.25">
      <c r="A19" s="141"/>
      <c r="B19" s="34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x14ac:dyDescent="0.25">
      <c r="A20" s="142" t="s">
        <v>63</v>
      </c>
      <c r="B20" s="142"/>
      <c r="C20">
        <f>SUM(C3:C19)</f>
        <v>0</v>
      </c>
      <c r="D20">
        <f>SUM(D3:D19)</f>
        <v>0</v>
      </c>
      <c r="E20">
        <f>SUM(E3:E19)</f>
        <v>0</v>
      </c>
      <c r="F20">
        <f>SUM(F3:F19)</f>
        <v>0</v>
      </c>
      <c r="G20">
        <f>SUM(C20:F20)</f>
        <v>0</v>
      </c>
      <c r="I20">
        <f>SUM(I3:I19)</f>
        <v>0</v>
      </c>
      <c r="J20">
        <f>SUM(J3:J19)</f>
        <v>0</v>
      </c>
      <c r="K20">
        <f>SUM(K3:K19)</f>
        <v>0</v>
      </c>
      <c r="L20">
        <f>SUM(L3:L19)</f>
        <v>0</v>
      </c>
      <c r="M20">
        <f>SUM(I20:L20)</f>
        <v>0</v>
      </c>
    </row>
    <row r="21" spans="1:13" x14ac:dyDescent="0.25">
      <c r="A21" s="143" t="s">
        <v>64</v>
      </c>
      <c r="B21" s="143"/>
      <c r="C21">
        <f>C20*5</f>
        <v>0</v>
      </c>
      <c r="D21">
        <f>D20*4</f>
        <v>0</v>
      </c>
      <c r="E21">
        <f>E20*3</f>
        <v>0</v>
      </c>
      <c r="F21">
        <f>F20*2</f>
        <v>0</v>
      </c>
      <c r="G21" s="35" t="e">
        <f>(C21+D21+E21+F21)/G20</f>
        <v>#DIV/0!</v>
      </c>
      <c r="I21">
        <f>I20*5</f>
        <v>0</v>
      </c>
      <c r="J21">
        <f>J20*4</f>
        <v>0</v>
      </c>
      <c r="K21">
        <f>K20*3</f>
        <v>0</v>
      </c>
      <c r="L21">
        <f>L20*2</f>
        <v>0</v>
      </c>
      <c r="M21" s="35" t="e">
        <f>(I21+J21+K21+L21)/M20</f>
        <v>#DIV/0!</v>
      </c>
    </row>
  </sheetData>
  <sheetProtection algorithmName="SHA-512" hashValue="bPIgeBxO0ipkhs/mB6sgVlWZYqv9Y1Q6dJ5o/VkkYuw9UiBZxfIdahwHHG0Yr4/gTFAmvDVwVwA/jI8PeXqqCQ==" saltValue="5q+3muyIqe/9bcqaP1UTyQ==" spinCount="100000" sheet="1" objects="1" scenarios="1"/>
  <mergeCells count="5">
    <mergeCell ref="A3:A19"/>
    <mergeCell ref="A20:B20"/>
    <mergeCell ref="A21:B21"/>
    <mergeCell ref="A1:F1"/>
    <mergeCell ref="I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14</vt:i4>
      </vt:variant>
    </vt:vector>
  </HeadingPairs>
  <TitlesOfParts>
    <vt:vector size="18" baseType="lpstr">
      <vt:lpstr>список</vt:lpstr>
      <vt:lpstr>таблица критериев</vt:lpstr>
      <vt:lpstr>средний балл</vt:lpstr>
      <vt:lpstr>Лист3</vt:lpstr>
      <vt:lpstr>Воспитание</vt:lpstr>
      <vt:lpstr>Грант</vt:lpstr>
      <vt:lpstr>конфер</vt:lpstr>
      <vt:lpstr>Матем</vt:lpstr>
      <vt:lpstr>Меропр</vt:lpstr>
      <vt:lpstr>Офиц</vt:lpstr>
      <vt:lpstr>Очная</vt:lpstr>
      <vt:lpstr>Победа</vt:lpstr>
      <vt:lpstr>список1</vt:lpstr>
      <vt:lpstr>список2</vt:lpstr>
      <vt:lpstr>список3</vt:lpstr>
      <vt:lpstr>список4</vt:lpstr>
      <vt:lpstr>список5</vt:lpstr>
      <vt:lpstr>физ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cp:lastPrinted>2021-08-31T12:44:18Z</cp:lastPrinted>
  <dcterms:created xsi:type="dcterms:W3CDTF">2015-09-19T06:44:11Z</dcterms:created>
  <dcterms:modified xsi:type="dcterms:W3CDTF">2025-12-16T05:20:28Z</dcterms:modified>
</cp:coreProperties>
</file>